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gons\Desktop\Mājas lapa\Piedāvājums\Balvi\Teātra 1 CFLA\"/>
    </mc:Choice>
  </mc:AlternateContent>
  <bookViews>
    <workbookView minimized="1" xWindow="-120" yWindow="-120" windowWidth="29040" windowHeight="15840" tabRatio="927"/>
  </bookViews>
  <sheets>
    <sheet name="Projekta dati" sheetId="5" r:id="rId1"/>
    <sheet name="Dati" sheetId="20" state="hidden" r:id="rId2"/>
  </sheets>
  <definedNames>
    <definedName name="_ftn1" localSheetId="1">Dati!$O$26</definedName>
    <definedName name="_ftnref1" localSheetId="1">Dati!$O$6</definedName>
    <definedName name="Output_Heizwaerme_Jahresverfahren">#REF!</definedName>
    <definedName name="_xlnm.Print_Area" localSheetId="0">'Projekta dati'!$B$18:$U$45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5" l="1"/>
  <c r="N36" i="5"/>
  <c r="F36" i="5"/>
  <c r="K24" i="5" l="1"/>
  <c r="K26" i="5"/>
  <c r="L2" i="20"/>
  <c r="O39" i="5"/>
  <c r="M37" i="5"/>
  <c r="M36" i="5"/>
  <c r="M35" i="5"/>
  <c r="L3" i="20" l="1"/>
  <c r="M38" i="5" s="1"/>
  <c r="Q44" i="5"/>
  <c r="H12" i="20"/>
  <c r="G10" i="20"/>
  <c r="G14" i="20"/>
  <c r="H14" i="20" s="1"/>
  <c r="G39" i="5"/>
  <c r="H5" i="20"/>
  <c r="J5" i="20" s="1"/>
  <c r="K5" i="20" s="1"/>
  <c r="N35" i="5"/>
  <c r="N34" i="5"/>
  <c r="N33" i="5"/>
  <c r="N32" i="5"/>
  <c r="K3" i="20"/>
  <c r="K2" i="20"/>
  <c r="J2" i="20"/>
  <c r="E37" i="5"/>
  <c r="E36" i="5"/>
  <c r="E35" i="5"/>
  <c r="F35" i="5"/>
  <c r="F34" i="5"/>
  <c r="F33" i="5"/>
  <c r="F32" i="5"/>
  <c r="H15" i="20" l="1"/>
  <c r="H16" i="20" s="1"/>
  <c r="M39" i="5"/>
  <c r="E38" i="5"/>
  <c r="E39" i="5" l="1"/>
  <c r="L39" i="5" l="1"/>
  <c r="I39" i="5"/>
  <c r="H42" i="5" l="1"/>
  <c r="G11" i="20" s="1"/>
  <c r="Q39" i="5"/>
  <c r="H45" i="5" s="1"/>
  <c r="G17" i="20" l="1"/>
  <c r="T23" i="5" s="1"/>
  <c r="Q42" i="5"/>
  <c r="H43" i="5"/>
  <c r="H51" i="5" l="1"/>
  <c r="H44" i="5"/>
  <c r="Q45" i="5"/>
  <c r="M21" i="5" s="1"/>
</calcChain>
</file>

<file path=xl/sharedStrings.xml><?xml version="1.0" encoding="utf-8"?>
<sst xmlns="http://schemas.openxmlformats.org/spreadsheetml/2006/main" count="143" uniqueCount="90">
  <si>
    <t>Projekta dati</t>
  </si>
  <si>
    <t>izvēlnes šūnas, kuras jāaizpilda obligāti</t>
  </si>
  <si>
    <r>
      <t xml:space="preserve">Daļiņu PM2,5 emisijas samazinājums (daļiņu PM2,5 emisiju samazinājums, īstenojot projektu (t/gadā)).
</t>
    </r>
    <r>
      <rPr>
        <b/>
        <sz val="11"/>
        <color rgb="FFFF0000"/>
        <rFont val="Times New Roman"/>
        <family val="1"/>
        <charset val="186"/>
      </rPr>
      <t>NB!</t>
    </r>
    <r>
      <rPr>
        <b/>
        <sz val="11"/>
        <color theme="1"/>
        <rFont val="Times New Roman"/>
        <family val="1"/>
        <charset val="186"/>
      </rPr>
      <t xml:space="preserve"> Rezultātu norāda projekta iesniegumā!</t>
    </r>
    <r>
      <rPr>
        <sz val="11"/>
        <color theme="1"/>
        <rFont val="Times New Roman"/>
        <family val="1"/>
        <charset val="186"/>
      </rPr>
      <t xml:space="preserve">
</t>
    </r>
    <r>
      <rPr>
        <b/>
        <sz val="12"/>
        <color theme="1"/>
        <rFont val="Times New Roman"/>
        <family val="1"/>
        <charset val="186"/>
      </rPr>
      <t>↓</t>
    </r>
  </si>
  <si>
    <t>šūnas, kuras jāaizpilda obligāti</t>
  </si>
  <si>
    <t>izvēlnes šūnas, kuras jāaizpilda ja nepieciešams</t>
  </si>
  <si>
    <t>šūnas, kuras jāaizpilda, ja nepieciešams</t>
  </si>
  <si>
    <t>Projekta ēkas vai dzīvokļa adrese ►►►</t>
  </si>
  <si>
    <t>Plānotās iekārtas max jauda (indikatīvi)►</t>
  </si>
  <si>
    <t>kW</t>
  </si>
  <si>
    <t>Projekta ēkas (dzīvojamās ēkas) vai dzīvokļa apkurināmā platība ►►►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</si>
  <si>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</si>
  <si>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Vidējā iekštelpu temperatūra apkures periodā ►►►</t>
  </si>
  <si>
    <t>*C</t>
  </si>
  <si>
    <t>Plānoto saules paneļu jauda (min 1.0 - max 11.1) (ja attiecināms) ►►►</t>
  </si>
  <si>
    <t>Esošās iekārtas nominālā jauda (ja zināms) ►►►</t>
  </si>
  <si>
    <t>Pēdējā kalendārā gada elektrības patēriņš (attiecināms, ja plāno saules paneļus)►►►</t>
  </si>
  <si>
    <t>kWh/gadā</t>
  </si>
  <si>
    <t>Kurināmais, 1. veids (obligāti)</t>
  </si>
  <si>
    <r>
      <t xml:space="preserve">Kurināmais, 2. veids </t>
    </r>
    <r>
      <rPr>
        <sz val="11"/>
        <color rgb="FFFF0000"/>
        <rFont val="Times New Roman"/>
        <family val="1"/>
        <charset val="186"/>
      </rPr>
      <t>(attiecināms, ja ietekme &gt;30%)</t>
    </r>
  </si>
  <si>
    <t>Pašpatēriņa īpatsvars (MK noteikumu 44.punkts)</t>
  </si>
  <si>
    <t>%</t>
  </si>
  <si>
    <t>Izvēlnē norāda kurināmo►</t>
  </si>
  <si>
    <t>Malka (20% mitrums)</t>
  </si>
  <si>
    <t>Ogles</t>
  </si>
  <si>
    <t>Izvēlnē norāda iekārtas veidu►</t>
  </si>
  <si>
    <t>Koksnes biomasas krāsns (augstas efektivitātes parastā, izstarojošā, piemēram, slēgtā kamīnkrāsns)</t>
  </si>
  <si>
    <t>Ogles izmantojošās apkures iekārtas</t>
  </si>
  <si>
    <t>Izvēlnē norāda kurināmā izskaitīto mērvienību►</t>
  </si>
  <si>
    <t>ber.m3</t>
  </si>
  <si>
    <t>Norāda kurināmā patēriņu uzskaitītajās mērvienībās ►</t>
  </si>
  <si>
    <t>Vidējais naturālā kurināmā patēriņš gadā►</t>
  </si>
  <si>
    <r>
      <t xml:space="preserve">Kurināmā zemākais sadegšanas siltums►
</t>
    </r>
    <r>
      <rPr>
        <sz val="8"/>
        <color rgb="FFFF3300"/>
        <rFont val="Times New Roman"/>
        <family val="1"/>
        <charset val="186"/>
      </rPr>
      <t>NB!</t>
    </r>
    <r>
      <rPr>
        <sz val="8"/>
        <rFont val="Times New Roman"/>
        <family val="1"/>
        <charset val="186"/>
      </rPr>
      <t xml:space="preserve"> šūnu aizpilda manuāli, ja izmantotie dati ir dokumentāli pamatoti</t>
    </r>
  </si>
  <si>
    <r>
      <t xml:space="preserve">Iekārtas lietderības koeficients►
</t>
    </r>
    <r>
      <rPr>
        <sz val="8"/>
        <color rgb="FFFF3300"/>
        <rFont val="Times New Roman"/>
        <family val="1"/>
        <charset val="186"/>
      </rPr>
      <t>NB!</t>
    </r>
    <r>
      <rPr>
        <sz val="8"/>
        <rFont val="Times New Roman"/>
        <family val="1"/>
        <charset val="186"/>
      </rPr>
      <t xml:space="preserve"> šūnu aizpilda manuāli, ja lietderības koeficients ir dokumentāli pamatojams</t>
    </r>
  </si>
  <si>
    <t>Mērvienības konversija►</t>
  </si>
  <si>
    <t>emisijas faktors (g/MWh)</t>
  </si>
  <si>
    <t>PM2,5 daļiņas (t/gadā)</t>
  </si>
  <si>
    <t>Apkures patēriņš►</t>
  </si>
  <si>
    <t>MWh gadā</t>
  </si>
  <si>
    <t>Esošā situācija</t>
  </si>
  <si>
    <t>Plānotā situācija</t>
  </si>
  <si>
    <t>Projekta īstenošanas dzīvojamās mājas vai dzīvokļa apkures patēriņš►</t>
  </si>
  <si>
    <r>
      <rPr>
        <sz val="10"/>
        <color rgb="FF000000"/>
        <rFont val="Times New Roman"/>
      </rPr>
      <t xml:space="preserve">Projekta īstenošanas dzīvojamās mājas  vai dzīvokļa apkures patēriņš ►
</t>
    </r>
    <r>
      <rPr>
        <sz val="10"/>
        <color rgb="FFFF3300"/>
        <rFont val="Times New Roman"/>
      </rPr>
      <t>NB!</t>
    </r>
    <r>
      <rPr>
        <sz val="10"/>
        <color rgb="FF000000"/>
        <rFont val="Times New Roman"/>
      </rPr>
      <t xml:space="preserve"> Gadījumā, ja  nav pielīdzināms esošajai situācijai, tad  pamatotu aprēķinu veic sertificēts energoauditors. Sertificētā energoauditora aprēķinu pievieno projekta iesniegumam</t>
    </r>
  </si>
  <si>
    <t>skatīt piezīmi, ja plānotā situācija atšķiras no esošās</t>
  </si>
  <si>
    <t>Projekta īstenošanas dzīvojamās mājas vai dzīvokļa īpatnējais apkures patēriņš►</t>
  </si>
  <si>
    <r>
      <t>kWh/m</t>
    </r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gadā</t>
    </r>
  </si>
  <si>
    <r>
      <rPr>
        <sz val="10"/>
        <color rgb="FFFF0000"/>
        <rFont val="Times New Roman"/>
        <family val="1"/>
        <charset val="186"/>
      </rPr>
      <t>NB!</t>
    </r>
    <r>
      <rPr>
        <sz val="10"/>
        <color theme="1"/>
        <rFont val="Times New Roman"/>
        <family val="1"/>
        <charset val="186"/>
      </rPr>
      <t xml:space="preserve"> Šūnā izvēlas MK noteikumu 42.1, 42.2., 42.3., 42.4. apakšpunktā minēto iekārtu ►</t>
    </r>
  </si>
  <si>
    <t>42.1. tāda koksnes biomasas apkures katla iegāde, kas piemērots granulu kurināmajam</t>
  </si>
  <si>
    <r>
      <t xml:space="preserve">Dzīvojamā māja atbilst apkures patēriņa E klasei vai efektīvākai klasei ►
</t>
    </r>
    <r>
      <rPr>
        <sz val="10"/>
        <color rgb="FFFF3300"/>
        <rFont val="Times New Roman"/>
        <family val="1"/>
        <charset val="186"/>
      </rPr>
      <t>NB!</t>
    </r>
    <r>
      <rPr>
        <sz val="10"/>
        <rFont val="Times New Roman"/>
        <family val="1"/>
        <charset val="186"/>
      </rPr>
      <t xml:space="preserve"> Informācija šūnā ir attiecināma tikai, ja dati ir par visu dzīvojamo māju</t>
    </r>
  </si>
  <si>
    <t>emisijas faktors ►</t>
  </si>
  <si>
    <t>g/MWh</t>
  </si>
  <si>
    <t>Daļiņu PM2,5 emisijas pirms projekta īstenošanas ►</t>
  </si>
  <si>
    <t>t/gadā</t>
  </si>
  <si>
    <t>Daļiņu PM2,5 emisijas pēc projekta īstenošanas ►</t>
  </si>
  <si>
    <t>KK 4.3.punkti</t>
  </si>
  <si>
    <t>cieš.m3</t>
  </si>
  <si>
    <t>Saskaņot ar Word 4.piezīmi</t>
  </si>
  <si>
    <r>
      <t>PM</t>
    </r>
    <r>
      <rPr>
        <vertAlign val="subscript"/>
        <sz val="11"/>
        <color theme="1"/>
        <rFont val="Times New Roman"/>
        <family val="1"/>
        <charset val="186"/>
      </rPr>
      <t>2,5</t>
    </r>
  </si>
  <si>
    <t>Lietderības koef</t>
  </si>
  <si>
    <t>malka</t>
  </si>
  <si>
    <t>Koksnes biomasas kamīns (atvērtais)</t>
  </si>
  <si>
    <t>Koksnes biomasas krāsns (parastā, izstarojošā, piemēram, virtuves plīts)</t>
  </si>
  <si>
    <t>m2</t>
  </si>
  <si>
    <t>Koksnes biomasas krāsns (mūra, akumulējošā, piemēram, podiņkrāsns)</t>
  </si>
  <si>
    <t>Koksnes biomasas apkures katls (malka, koksnes atkritumi, briketes)</t>
  </si>
  <si>
    <t>42.2. siltumsūkņa (zeme–ūdens, ūdens–ūdens vai gaiss–ūdens) iegāde</t>
  </si>
  <si>
    <t>Koksnes biomasas apkures katls (granulas)</t>
  </si>
  <si>
    <t>42.3. pieslēguma centralizētai siltumapgādes sistēmai projektēšana un izveidošana</t>
  </si>
  <si>
    <t>42.4. siltumsūkņa (gaiss–gaiss) iegāde un uzstādīšana</t>
  </si>
  <si>
    <t>Kūdras kurināmā apkures iekārtas</t>
  </si>
  <si>
    <t>Ja iekārta nav vizuāli idenficējama vai nav augstāk minēta</t>
  </si>
  <si>
    <t>Kurināmais</t>
  </si>
  <si>
    <t>zemākā siltumspēja</t>
  </si>
  <si>
    <t>Malka (10% mitrums)</t>
  </si>
  <si>
    <t>MWh/cieš. m3</t>
  </si>
  <si>
    <t>MWh/cieš.  m3</t>
  </si>
  <si>
    <t>Malka (30% mitrums)</t>
  </si>
  <si>
    <t>t</t>
  </si>
  <si>
    <t>Malka (40% mitrums)</t>
  </si>
  <si>
    <t>Malka (51% mitrums)</t>
  </si>
  <si>
    <t>Malka (55% mitrums)</t>
  </si>
  <si>
    <t>Koksnes atlikumi</t>
  </si>
  <si>
    <t>MWh/ber.m3</t>
  </si>
  <si>
    <t>Kurināmā šķelda</t>
  </si>
  <si>
    <t>Koksnes briketes</t>
  </si>
  <si>
    <t>MWh/t</t>
  </si>
  <si>
    <t>Koksnes granulas</t>
  </si>
  <si>
    <t xml:space="preserve">Kūdra </t>
  </si>
  <si>
    <t>Kūdras briketes</t>
  </si>
  <si>
    <t>MWh/cieš.m3</t>
  </si>
  <si>
    <t>Balvi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</si>
</sst>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8"/>
      <color rgb="FF00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0" tint="-0.34998626667073579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b/>
      <sz val="26"/>
      <color rgb="FF000000"/>
      <name val="Times New Roman"/>
      <family val="1"/>
      <charset val="186"/>
    </font>
    <font>
      <sz val="8"/>
      <color rgb="FFFF3300"/>
      <name val="Times New Roman"/>
      <family val="1"/>
      <charset val="186"/>
    </font>
    <font>
      <sz val="10"/>
      <color rgb="FFFF3300"/>
      <name val="Times New Roman"/>
      <family val="1"/>
      <charset val="186"/>
    </font>
    <font>
      <sz val="10"/>
      <color rgb="FF000000"/>
      <name val="Times New Roman"/>
    </font>
    <font>
      <sz val="10"/>
      <color rgb="FFFF3300"/>
      <name val="Times New Roman"/>
    </font>
    <font>
      <sz val="1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E1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</cellStyleXfs>
  <cellXfs count="143">
    <xf numFmtId="0" fontId="0" fillId="0" borderId="0" xfId="0"/>
    <xf numFmtId="0" fontId="7" fillId="0" borderId="0" xfId="0" applyFont="1"/>
    <xf numFmtId="0" fontId="6" fillId="3" borderId="0" xfId="0" applyFont="1" applyFill="1"/>
    <xf numFmtId="0" fontId="5" fillId="3" borderId="0" xfId="0" applyFont="1" applyFill="1"/>
    <xf numFmtId="0" fontId="11" fillId="3" borderId="0" xfId="0" applyFont="1" applyFill="1" applyAlignment="1">
      <alignment horizontal="center" vertical="center"/>
    </xf>
    <xf numFmtId="0" fontId="7" fillId="3" borderId="0" xfId="0" applyFont="1" applyFill="1"/>
    <xf numFmtId="0" fontId="13" fillId="0" borderId="0" xfId="0" applyFont="1"/>
    <xf numFmtId="165" fontId="12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wrapText="1"/>
    </xf>
    <xf numFmtId="0" fontId="7" fillId="0" borderId="4" xfId="0" applyFont="1" applyBorder="1"/>
    <xf numFmtId="0" fontId="16" fillId="3" borderId="0" xfId="0" applyFont="1" applyFill="1"/>
    <xf numFmtId="0" fontId="10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5" borderId="4" xfId="0" applyFont="1" applyFill="1" applyBorder="1" applyAlignment="1">
      <alignment wrapText="1"/>
    </xf>
    <xf numFmtId="0" fontId="7" fillId="5" borderId="4" xfId="0" applyFont="1" applyFill="1" applyBorder="1"/>
    <xf numFmtId="0" fontId="13" fillId="0" borderId="4" xfId="0" applyFont="1" applyBorder="1" applyAlignment="1">
      <alignment horizontal="center"/>
    </xf>
    <xf numFmtId="9" fontId="13" fillId="0" borderId="4" xfId="0" applyNumberFormat="1" applyFont="1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vertical="center" wrapText="1"/>
      <protection locked="0"/>
    </xf>
    <xf numFmtId="166" fontId="7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 applyProtection="1">
      <alignment vertical="center" wrapText="1"/>
      <protection locked="0"/>
    </xf>
    <xf numFmtId="165" fontId="12" fillId="0" borderId="0" xfId="0" applyNumberFormat="1" applyFont="1" applyAlignment="1" applyProtection="1">
      <alignment wrapText="1"/>
      <protection locked="0"/>
    </xf>
    <xf numFmtId="164" fontId="7" fillId="0" borderId="0" xfId="0" applyNumberFormat="1" applyFont="1"/>
    <xf numFmtId="0" fontId="25" fillId="0" borderId="0" xfId="0" applyFont="1"/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9" fillId="0" borderId="0" xfId="0" applyFont="1" applyAlignment="1" applyProtection="1">
      <alignment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9" fontId="13" fillId="0" borderId="0" xfId="1" applyFont="1"/>
    <xf numFmtId="0" fontId="23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8" borderId="0" xfId="0" applyFont="1" applyFill="1"/>
    <xf numFmtId="0" fontId="6" fillId="8" borderId="0" xfId="0" applyFont="1" applyFill="1"/>
    <xf numFmtId="0" fontId="5" fillId="8" borderId="0" xfId="0" applyFont="1" applyFill="1"/>
    <xf numFmtId="0" fontId="13" fillId="8" borderId="0" xfId="0" applyFont="1" applyFill="1"/>
    <xf numFmtId="0" fontId="13" fillId="8" borderId="0" xfId="0" applyFont="1" applyFill="1" applyAlignment="1">
      <alignment vertical="top"/>
    </xf>
    <xf numFmtId="0" fontId="12" fillId="2" borderId="4" xfId="0" applyFont="1" applyFill="1" applyBorder="1" applyAlignment="1">
      <alignment horizontal="right"/>
    </xf>
    <xf numFmtId="0" fontId="20" fillId="7" borderId="17" xfId="0" applyFont="1" applyFill="1" applyBorder="1" applyAlignment="1">
      <alignment horizont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2" fillId="10" borderId="4" xfId="0" applyFont="1" applyFill="1" applyBorder="1" applyAlignment="1">
      <alignment horizontal="right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2" fontId="7" fillId="3" borderId="33" xfId="1" applyNumberFormat="1" applyFont="1" applyFill="1" applyBorder="1" applyAlignment="1">
      <alignment horizontal="center"/>
    </xf>
    <xf numFmtId="2" fontId="7" fillId="3" borderId="13" xfId="1" applyNumberFormat="1" applyFont="1" applyFill="1" applyBorder="1" applyAlignment="1">
      <alignment horizontal="center"/>
    </xf>
    <xf numFmtId="165" fontId="12" fillId="0" borderId="0" xfId="0" applyNumberFormat="1" applyFont="1" applyAlignment="1" applyProtection="1">
      <alignment horizontal="right" wrapText="1"/>
      <protection locked="0"/>
    </xf>
    <xf numFmtId="0" fontId="27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9" fillId="0" borderId="12" xfId="0" applyFont="1" applyBorder="1" applyAlignment="1">
      <alignment horizontal="right" wrapText="1"/>
    </xf>
    <xf numFmtId="0" fontId="18" fillId="0" borderId="0" xfId="0" applyFont="1" applyAlignment="1">
      <alignment horizontal="right" vertical="center" wrapText="1"/>
    </xf>
    <xf numFmtId="0" fontId="19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26" fillId="0" borderId="20" xfId="0" applyNumberFormat="1" applyFont="1" applyBorder="1" applyAlignment="1">
      <alignment horizontal="center" vertical="center"/>
    </xf>
    <xf numFmtId="164" fontId="26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28" fillId="9" borderId="22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27" fillId="0" borderId="0" xfId="0" applyFont="1" applyAlignment="1" applyProtection="1">
      <alignment horizont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7" fillId="0" borderId="20" xfId="0" applyNumberFormat="1" applyFont="1" applyBorder="1" applyAlignment="1">
      <alignment horizontal="center" vertical="center"/>
    </xf>
    <xf numFmtId="166" fontId="7" fillId="0" borderId="2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6" fontId="7" fillId="0" borderId="26" xfId="0" applyNumberFormat="1" applyFont="1" applyBorder="1" applyAlignment="1">
      <alignment horizontal="center" vertical="center"/>
    </xf>
    <xf numFmtId="166" fontId="7" fillId="0" borderId="27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10" borderId="0" xfId="0" applyFont="1" applyFill="1" applyAlignment="1">
      <alignment horizontal="center"/>
    </xf>
    <xf numFmtId="0" fontId="7" fillId="10" borderId="12" xfId="0" applyFont="1" applyFill="1" applyBorder="1" applyAlignment="1">
      <alignment horizontal="center"/>
    </xf>
    <xf numFmtId="0" fontId="34" fillId="0" borderId="0" xfId="0" applyFont="1" applyAlignment="1">
      <alignment horizontal="right" vertical="center" wrapText="1"/>
    </xf>
    <xf numFmtId="166" fontId="6" fillId="2" borderId="26" xfId="0" applyNumberFormat="1" applyFont="1" applyFill="1" applyBorder="1" applyAlignment="1">
      <alignment horizontal="center" vertical="center"/>
    </xf>
    <xf numFmtId="166" fontId="6" fillId="2" borderId="30" xfId="0" applyNumberFormat="1" applyFont="1" applyFill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11" borderId="2" xfId="0" applyFont="1" applyFill="1" applyBorder="1" applyAlignment="1" applyProtection="1">
      <alignment horizontal="center" vertical="center" wrapText="1"/>
      <protection locked="0"/>
    </xf>
    <xf numFmtId="0" fontId="8" fillId="11" borderId="32" xfId="0" applyFont="1" applyFill="1" applyBorder="1" applyAlignment="1" applyProtection="1">
      <alignment horizontal="center" vertical="center" wrapText="1"/>
      <protection locked="0"/>
    </xf>
    <xf numFmtId="0" fontId="8" fillId="11" borderId="3" xfId="0" applyFont="1" applyFill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wrapText="1"/>
      <protection locked="0"/>
    </xf>
    <xf numFmtId="0" fontId="29" fillId="0" borderId="1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6" fontId="24" fillId="6" borderId="16" xfId="0" applyNumberFormat="1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165" fontId="12" fillId="0" borderId="0" xfId="0" applyNumberFormat="1" applyFont="1" applyAlignment="1" applyProtection="1">
      <alignment horizontal="left" wrapText="1"/>
      <protection locked="0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7" fillId="11" borderId="0" xfId="0" applyFont="1" applyFill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7" fillId="7" borderId="12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6" fillId="10" borderId="4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4" xfId="0" applyFont="1" applyBorder="1" applyAlignment="1">
      <alignment horizontal="center"/>
    </xf>
  </cellXfs>
  <cellStyles count="5">
    <cellStyle name="Normal" xfId="0" builtinId="0"/>
    <cellStyle name="Normal 2" xfId="3"/>
    <cellStyle name="Normal 3 5" xfId="4"/>
    <cellStyle name="Percent" xfId="1" builtinId="5"/>
    <cellStyle name="Standard_HWB Kurzverf. Formular" xfId="2"/>
  </cellStyles>
  <dxfs count="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E1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279501</xdr:colOff>
      <xdr:row>48</xdr:row>
      <xdr:rowOff>160531</xdr:rowOff>
    </xdr:from>
    <xdr:to>
      <xdr:col>15</xdr:col>
      <xdr:colOff>1324625</xdr:colOff>
      <xdr:row>56</xdr:row>
      <xdr:rowOff>141766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D9EAD2C-944F-4993-A576-5FCAA02F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6617" y="8267857"/>
          <a:ext cx="5455295" cy="1398909"/>
        </a:xfrm>
        <a:prstGeom prst="rect">
          <a:avLst/>
        </a:prstGeom>
      </xdr:spPr>
    </xdr:pic>
    <xdr:clientData/>
  </xdr:twoCellAnchor>
  <xdr:twoCellAnchor editAs="oneCell">
    <xdr:from>
      <xdr:col>1</xdr:col>
      <xdr:colOff>412926</xdr:colOff>
      <xdr:row>47</xdr:row>
      <xdr:rowOff>131620</xdr:rowOff>
    </xdr:from>
    <xdr:to>
      <xdr:col>5</xdr:col>
      <xdr:colOff>423554</xdr:colOff>
      <xdr:row>70</xdr:row>
      <xdr:rowOff>8134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410C261-2B83-9A9B-A288-80B4F5A9D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926" y="5417129"/>
          <a:ext cx="4655712" cy="3859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365760</xdr:colOff>
      <xdr:row>18</xdr:row>
      <xdr:rowOff>135754</xdr:rowOff>
    </xdr:from>
    <xdr:to>
      <xdr:col>11</xdr:col>
      <xdr:colOff>144780</xdr:colOff>
      <xdr:row>38</xdr:row>
      <xdr:rowOff>38261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1F32801-0717-48B3-8444-9267A7A9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8680" y="3633334"/>
          <a:ext cx="4305300" cy="3567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91"/>
  <sheetViews>
    <sheetView showGridLines="0" tabSelected="1" topLeftCell="B16" zoomScale="130" zoomScaleNormal="130" zoomScaleSheetLayoutView="90" workbookViewId="0">
      <selection activeCell="B16" sqref="B16"/>
    </sheetView>
  </sheetViews>
  <sheetFormatPr defaultColWidth="8.85546875" defaultRowHeight="15" x14ac:dyDescent="0.25"/>
  <cols>
    <col min="1" max="1" width="1.28515625" style="45" customWidth="1"/>
    <col min="2" max="2" width="23.5703125" style="1" customWidth="1"/>
    <col min="3" max="3" width="19.7109375" style="1" customWidth="1"/>
    <col min="4" max="4" width="10.28515625" style="1" customWidth="1"/>
    <col min="5" max="5" width="13.7109375" style="1" customWidth="1"/>
    <col min="6" max="6" width="13" style="1" customWidth="1"/>
    <col min="7" max="7" width="15.28515625" style="1" customWidth="1"/>
    <col min="8" max="9" width="9.5703125" style="1" customWidth="1"/>
    <col min="10" max="10" width="7.7109375" style="1" customWidth="1"/>
    <col min="11" max="11" width="4.85546875" style="1" customWidth="1"/>
    <col min="12" max="12" width="10.28515625" style="1" customWidth="1"/>
    <col min="13" max="13" width="13.7109375" style="1" customWidth="1"/>
    <col min="14" max="14" width="14.7109375" style="1" customWidth="1"/>
    <col min="15" max="15" width="13" style="1" customWidth="1"/>
    <col min="16" max="16" width="22" style="1" customWidth="1"/>
    <col min="17" max="18" width="9.5703125" style="1" customWidth="1"/>
    <col min="19" max="19" width="5.42578125" style="1" customWidth="1"/>
    <col min="20" max="20" width="10.140625" style="1" customWidth="1"/>
    <col min="21" max="21" width="8.85546875" style="1"/>
    <col min="22" max="40" width="8.85546875" style="45"/>
    <col min="41" max="16384" width="8.85546875" style="1"/>
  </cols>
  <sheetData>
    <row r="1" spans="2:18" s="45" customFormat="1" ht="4.1500000000000004" customHeight="1" x14ac:dyDescent="0.25">
      <c r="B1" s="48"/>
      <c r="C1" s="49"/>
      <c r="D1" s="48"/>
      <c r="E1" s="48"/>
      <c r="F1" s="48"/>
      <c r="G1" s="48"/>
      <c r="H1" s="48"/>
      <c r="I1" s="48"/>
      <c r="J1" s="48"/>
      <c r="L1" s="48"/>
      <c r="M1" s="48"/>
      <c r="N1" s="48"/>
      <c r="O1" s="48"/>
      <c r="P1" s="48"/>
      <c r="Q1" s="48"/>
      <c r="R1" s="48"/>
    </row>
    <row r="2" spans="2:18" s="45" customFormat="1" ht="4.1500000000000004" customHeight="1" x14ac:dyDescent="0.25">
      <c r="B2" s="48"/>
      <c r="C2" s="49"/>
      <c r="D2" s="48"/>
      <c r="E2" s="48"/>
      <c r="F2" s="48"/>
      <c r="G2" s="48"/>
      <c r="H2" s="48"/>
      <c r="I2" s="48"/>
      <c r="J2" s="48"/>
      <c r="L2" s="48"/>
      <c r="M2" s="48"/>
      <c r="N2" s="48"/>
      <c r="O2" s="48"/>
      <c r="P2" s="48"/>
      <c r="Q2" s="48"/>
      <c r="R2" s="48"/>
    </row>
    <row r="3" spans="2:18" s="45" customFormat="1" ht="4.1500000000000004" customHeight="1" x14ac:dyDescent="0.25">
      <c r="B3" s="48"/>
      <c r="C3" s="49"/>
      <c r="D3" s="48"/>
      <c r="E3" s="48"/>
      <c r="F3" s="48"/>
      <c r="G3" s="48"/>
      <c r="H3" s="48"/>
      <c r="I3" s="48"/>
      <c r="J3" s="48"/>
      <c r="L3" s="48"/>
      <c r="M3" s="48"/>
      <c r="N3" s="48"/>
      <c r="O3" s="48"/>
      <c r="P3" s="48"/>
      <c r="Q3" s="48"/>
      <c r="R3" s="48"/>
    </row>
    <row r="4" spans="2:18" s="45" customFormat="1" ht="4.1500000000000004" customHeight="1" x14ac:dyDescent="0.25">
      <c r="B4" s="48"/>
      <c r="C4" s="49"/>
      <c r="D4" s="48"/>
      <c r="E4" s="48"/>
      <c r="F4" s="48"/>
      <c r="G4" s="48"/>
      <c r="H4" s="48"/>
      <c r="I4" s="48"/>
      <c r="J4" s="48"/>
      <c r="L4" s="48"/>
      <c r="M4" s="48"/>
      <c r="N4" s="48"/>
      <c r="O4" s="48"/>
      <c r="P4" s="48"/>
      <c r="Q4" s="48"/>
      <c r="R4" s="48"/>
    </row>
    <row r="5" spans="2:18" s="45" customFormat="1" ht="4.1500000000000004" customHeight="1" x14ac:dyDescent="0.25">
      <c r="B5" s="48"/>
      <c r="C5" s="49"/>
      <c r="D5" s="48"/>
      <c r="E5" s="48"/>
      <c r="F5" s="48"/>
      <c r="G5" s="48"/>
      <c r="H5" s="48"/>
      <c r="I5" s="48"/>
      <c r="J5" s="48"/>
      <c r="L5" s="48"/>
      <c r="M5" s="48"/>
      <c r="N5" s="48"/>
      <c r="O5" s="48"/>
      <c r="P5" s="48"/>
      <c r="Q5" s="48"/>
      <c r="R5" s="48"/>
    </row>
    <row r="6" spans="2:18" s="45" customFormat="1" ht="4.1500000000000004" customHeight="1" x14ac:dyDescent="0.25">
      <c r="B6" s="48"/>
      <c r="C6" s="49"/>
      <c r="D6" s="48"/>
      <c r="E6" s="48"/>
      <c r="F6" s="48"/>
      <c r="G6" s="48"/>
      <c r="H6" s="48"/>
      <c r="I6" s="48"/>
      <c r="J6" s="48"/>
      <c r="L6" s="48"/>
      <c r="M6" s="48"/>
      <c r="N6" s="48"/>
      <c r="O6" s="48"/>
      <c r="P6" s="48"/>
      <c r="Q6" s="48"/>
      <c r="R6" s="48"/>
    </row>
    <row r="7" spans="2:18" s="45" customFormat="1" ht="4.1500000000000004" customHeight="1" x14ac:dyDescent="0.25">
      <c r="B7" s="48"/>
      <c r="C7" s="49"/>
      <c r="D7" s="48"/>
      <c r="E7" s="48"/>
      <c r="F7" s="48"/>
      <c r="G7" s="48"/>
      <c r="H7" s="48"/>
      <c r="I7" s="48"/>
      <c r="J7" s="48"/>
      <c r="L7" s="48"/>
      <c r="M7" s="48"/>
      <c r="N7" s="48"/>
      <c r="O7" s="48"/>
      <c r="P7" s="48"/>
      <c r="Q7" s="48"/>
      <c r="R7" s="48"/>
    </row>
    <row r="8" spans="2:18" s="45" customFormat="1" ht="4.1500000000000004" customHeight="1" x14ac:dyDescent="0.25">
      <c r="B8" s="48"/>
      <c r="C8" s="49"/>
      <c r="D8" s="48"/>
      <c r="E8" s="48"/>
      <c r="F8" s="48"/>
      <c r="G8" s="48"/>
      <c r="H8" s="48"/>
      <c r="I8" s="48"/>
      <c r="J8" s="48"/>
      <c r="L8" s="48"/>
      <c r="M8" s="48"/>
      <c r="N8" s="48"/>
      <c r="O8" s="48"/>
      <c r="P8" s="48"/>
      <c r="Q8" s="48"/>
      <c r="R8" s="48"/>
    </row>
    <row r="9" spans="2:18" s="45" customFormat="1" ht="0.75" customHeight="1" x14ac:dyDescent="0.25">
      <c r="B9" s="48"/>
      <c r="C9" s="49"/>
      <c r="D9" s="48"/>
      <c r="E9" s="48"/>
      <c r="F9" s="48"/>
      <c r="G9" s="48"/>
      <c r="H9" s="48"/>
      <c r="I9" s="48"/>
      <c r="J9" s="48"/>
      <c r="L9" s="48"/>
      <c r="M9" s="48"/>
      <c r="N9" s="48"/>
      <c r="O9" s="48"/>
      <c r="P9" s="48"/>
      <c r="Q9" s="48"/>
      <c r="R9" s="48"/>
    </row>
    <row r="10" spans="2:18" s="45" customFormat="1" ht="3.75" hidden="1" customHeight="1" x14ac:dyDescent="0.25">
      <c r="B10" s="48"/>
      <c r="C10" s="49"/>
      <c r="D10" s="48"/>
      <c r="E10" s="48"/>
      <c r="F10" s="48"/>
      <c r="G10" s="48"/>
      <c r="H10" s="48"/>
      <c r="I10" s="48"/>
      <c r="J10" s="48"/>
      <c r="L10" s="48"/>
      <c r="M10" s="48"/>
      <c r="N10" s="48"/>
      <c r="O10" s="48"/>
      <c r="P10" s="48"/>
      <c r="Q10" s="48"/>
      <c r="R10" s="48"/>
    </row>
    <row r="11" spans="2:18" s="45" customFormat="1" ht="3.75" hidden="1" customHeight="1" x14ac:dyDescent="0.25">
      <c r="B11" s="48"/>
      <c r="C11" s="49"/>
      <c r="D11" s="48"/>
      <c r="E11" s="48"/>
      <c r="F11" s="48"/>
      <c r="G11" s="48"/>
      <c r="H11" s="48"/>
      <c r="I11" s="48"/>
      <c r="J11" s="48"/>
      <c r="L11" s="48"/>
      <c r="M11" s="48"/>
      <c r="N11" s="48"/>
      <c r="O11" s="48"/>
      <c r="P11" s="48"/>
      <c r="Q11" s="48"/>
      <c r="R11" s="48"/>
    </row>
    <row r="12" spans="2:18" s="45" customFormat="1" ht="3.75" hidden="1" customHeight="1" x14ac:dyDescent="0.25">
      <c r="B12" s="48"/>
      <c r="C12" s="49"/>
      <c r="D12" s="48"/>
      <c r="E12" s="48"/>
      <c r="F12" s="48"/>
      <c r="G12" s="48"/>
      <c r="H12" s="48"/>
      <c r="I12" s="48"/>
      <c r="J12" s="48"/>
      <c r="L12" s="48"/>
      <c r="M12" s="48"/>
      <c r="N12" s="48"/>
      <c r="O12" s="48"/>
      <c r="P12" s="48"/>
      <c r="Q12" s="48"/>
      <c r="R12" s="48"/>
    </row>
    <row r="13" spans="2:18" s="45" customFormat="1" ht="3.75" hidden="1" customHeight="1" x14ac:dyDescent="0.25">
      <c r="B13" s="48"/>
      <c r="C13" s="49"/>
      <c r="D13" s="48"/>
      <c r="E13" s="48"/>
      <c r="F13" s="48"/>
      <c r="G13" s="48"/>
      <c r="H13" s="48"/>
      <c r="I13" s="48"/>
      <c r="J13" s="48"/>
      <c r="L13" s="48"/>
      <c r="M13" s="48"/>
      <c r="N13" s="48"/>
      <c r="O13" s="48"/>
      <c r="P13" s="48"/>
      <c r="Q13" s="48"/>
      <c r="R13" s="48"/>
    </row>
    <row r="14" spans="2:18" s="45" customFormat="1" ht="3.75" hidden="1" customHeight="1" x14ac:dyDescent="0.25">
      <c r="B14" s="48"/>
      <c r="C14" s="49"/>
      <c r="D14" s="48"/>
      <c r="E14" s="48"/>
      <c r="F14" s="48"/>
      <c r="G14" s="48"/>
      <c r="H14" s="48"/>
      <c r="I14" s="48"/>
      <c r="J14" s="48"/>
      <c r="L14" s="48"/>
      <c r="M14" s="48"/>
      <c r="N14" s="48"/>
      <c r="O14" s="48"/>
      <c r="P14" s="48"/>
      <c r="Q14" s="48"/>
      <c r="R14" s="48"/>
    </row>
    <row r="15" spans="2:18" s="45" customFormat="1" ht="3.75" hidden="1" customHeight="1" x14ac:dyDescent="0.25">
      <c r="B15" s="48"/>
      <c r="C15" s="49"/>
      <c r="D15" s="48"/>
      <c r="E15" s="48"/>
      <c r="F15" s="48"/>
      <c r="G15" s="48"/>
      <c r="H15" s="48"/>
      <c r="I15" s="48"/>
      <c r="J15" s="48"/>
      <c r="L15" s="48"/>
      <c r="M15" s="48"/>
      <c r="N15" s="48"/>
      <c r="O15" s="48"/>
      <c r="P15" s="48"/>
      <c r="Q15" s="48"/>
      <c r="R15" s="48"/>
    </row>
    <row r="16" spans="2:18" s="45" customFormat="1" ht="52.5" customHeight="1" x14ac:dyDescent="0.25">
      <c r="B16" s="48"/>
      <c r="C16" s="49"/>
      <c r="D16" s="48"/>
      <c r="E16" s="48"/>
      <c r="F16" s="48"/>
      <c r="G16" s="48"/>
      <c r="H16" s="48"/>
      <c r="I16" s="48"/>
      <c r="J16" s="48"/>
      <c r="L16" s="48"/>
      <c r="M16" s="48"/>
      <c r="N16" s="48"/>
      <c r="O16" s="48"/>
      <c r="P16" s="48"/>
      <c r="Q16" s="48"/>
      <c r="R16" s="48"/>
    </row>
    <row r="17" spans="1:40" s="45" customFormat="1" ht="3" customHeight="1" x14ac:dyDescent="0.25">
      <c r="B17" s="48"/>
      <c r="C17" s="49"/>
      <c r="D17" s="48"/>
      <c r="E17" s="48"/>
      <c r="F17" s="48"/>
      <c r="G17" s="48"/>
      <c r="H17" s="48"/>
      <c r="I17" s="48"/>
      <c r="J17" s="48"/>
      <c r="L17" s="48"/>
      <c r="M17" s="48"/>
      <c r="N17" s="48"/>
      <c r="O17" s="48"/>
      <c r="P17" s="48"/>
      <c r="Q17" s="48"/>
      <c r="R17" s="48"/>
    </row>
    <row r="18" spans="1:40" ht="22.5" x14ac:dyDescent="0.25">
      <c r="B18" s="112" t="s">
        <v>0</v>
      </c>
      <c r="C18" s="113"/>
      <c r="D18" s="113"/>
      <c r="E18" s="113"/>
      <c r="F18" s="118" t="s">
        <v>1</v>
      </c>
      <c r="G18" s="118"/>
      <c r="H18" s="118"/>
      <c r="I18" s="118"/>
      <c r="J18" s="118"/>
      <c r="K18" s="119"/>
      <c r="L18" s="42"/>
      <c r="M18" s="130" t="s">
        <v>2</v>
      </c>
      <c r="N18" s="131"/>
      <c r="O18" s="131"/>
      <c r="P18" s="131"/>
      <c r="Q18" s="131"/>
      <c r="R18" s="131"/>
      <c r="S18" s="131"/>
      <c r="T18" s="131"/>
      <c r="U18" s="132"/>
    </row>
    <row r="19" spans="1:40" s="2" customFormat="1" ht="15.6" customHeight="1" x14ac:dyDescent="0.25">
      <c r="A19" s="46"/>
      <c r="B19" s="114"/>
      <c r="C19" s="115"/>
      <c r="D19" s="115"/>
      <c r="E19" s="115"/>
      <c r="F19" s="95" t="s">
        <v>3</v>
      </c>
      <c r="G19" s="95"/>
      <c r="H19" s="95"/>
      <c r="I19" s="95"/>
      <c r="J19" s="95"/>
      <c r="K19" s="96"/>
      <c r="L19" s="42"/>
      <c r="M19" s="133"/>
      <c r="N19" s="134"/>
      <c r="O19" s="134"/>
      <c r="P19" s="134"/>
      <c r="Q19" s="134"/>
      <c r="R19" s="134"/>
      <c r="S19" s="134"/>
      <c r="T19" s="134"/>
      <c r="U19" s="135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0" s="2" customFormat="1" ht="15.6" customHeight="1" x14ac:dyDescent="0.25">
      <c r="A20" s="46"/>
      <c r="B20" s="114"/>
      <c r="C20" s="115"/>
      <c r="D20" s="115"/>
      <c r="E20" s="115"/>
      <c r="F20" s="128" t="s">
        <v>4</v>
      </c>
      <c r="G20" s="128"/>
      <c r="H20" s="128"/>
      <c r="I20" s="128"/>
      <c r="J20" s="128"/>
      <c r="K20" s="129"/>
      <c r="L20" s="42"/>
      <c r="M20" s="136"/>
      <c r="N20" s="137"/>
      <c r="O20" s="137"/>
      <c r="P20" s="137"/>
      <c r="Q20" s="137"/>
      <c r="R20" s="137"/>
      <c r="S20" s="137"/>
      <c r="T20" s="137"/>
      <c r="U20" s="138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s="2" customFormat="1" ht="15.6" customHeight="1" x14ac:dyDescent="0.3">
      <c r="A21" s="46"/>
      <c r="B21" s="116"/>
      <c r="C21" s="117"/>
      <c r="D21" s="117"/>
      <c r="E21" s="117"/>
      <c r="F21" s="120" t="s">
        <v>5</v>
      </c>
      <c r="G21" s="120"/>
      <c r="H21" s="120"/>
      <c r="I21" s="120"/>
      <c r="J21" s="120"/>
      <c r="K21" s="121"/>
      <c r="L21" s="42"/>
      <c r="M21" s="122">
        <f>ROUND((H45-Q45),3)</f>
        <v>0.16300000000000001</v>
      </c>
      <c r="N21" s="123"/>
      <c r="O21" s="123"/>
      <c r="P21" s="123"/>
      <c r="Q21" s="123"/>
      <c r="R21" s="123"/>
      <c r="S21" s="123"/>
      <c r="T21" s="123"/>
      <c r="U21" s="124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0" s="3" customFormat="1" ht="5.45" customHeight="1" thickBot="1" x14ac:dyDescent="0.25">
      <c r="A22" s="47"/>
      <c r="C22" s="4"/>
      <c r="D22" s="4"/>
      <c r="E22" s="4"/>
      <c r="F22" s="4"/>
      <c r="G22" s="4"/>
      <c r="H22" s="4"/>
      <c r="I22" s="4"/>
      <c r="J22" s="4"/>
      <c r="K22" s="24"/>
      <c r="L22" s="4"/>
      <c r="M22" s="24"/>
      <c r="N22" s="24"/>
      <c r="O22" s="24"/>
      <c r="P22" s="24"/>
      <c r="Q22" s="24"/>
      <c r="R22" s="24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</row>
    <row r="23" spans="1:40" ht="16.5" thickBot="1" x14ac:dyDescent="0.3">
      <c r="C23" s="126" t="s">
        <v>6</v>
      </c>
      <c r="D23" s="126"/>
      <c r="E23" s="127"/>
      <c r="F23" s="140" t="s">
        <v>89</v>
      </c>
      <c r="G23" s="140"/>
      <c r="H23" s="140"/>
      <c r="I23" s="140"/>
      <c r="J23" s="140"/>
      <c r="K23" s="28"/>
      <c r="L23" s="23"/>
      <c r="M23" s="55" t="s">
        <v>7</v>
      </c>
      <c r="N23" s="55"/>
      <c r="O23" s="55"/>
      <c r="P23" s="55"/>
      <c r="Q23" s="55"/>
      <c r="R23" s="55"/>
      <c r="S23" s="141"/>
      <c r="T23" s="51">
        <f>+Dati!G17</f>
        <v>49</v>
      </c>
      <c r="U23" s="1" t="s">
        <v>8</v>
      </c>
    </row>
    <row r="24" spans="1:40" ht="15.75" customHeight="1" x14ac:dyDescent="0.25">
      <c r="B24" s="23"/>
      <c r="C24" s="126" t="s">
        <v>9</v>
      </c>
      <c r="D24" s="126"/>
      <c r="E24" s="126"/>
      <c r="F24" s="126"/>
      <c r="G24" s="126"/>
      <c r="H24" s="127"/>
      <c r="I24" s="53">
        <v>534.13</v>
      </c>
      <c r="J24" s="1" t="s">
        <v>10</v>
      </c>
      <c r="K24" s="139" t="str">
        <f>IF(I24&lt;50,"Neatbilst","")</f>
        <v/>
      </c>
      <c r="L24" s="139"/>
    </row>
    <row r="25" spans="1:40" ht="14.45" customHeight="1" x14ac:dyDescent="0.25">
      <c r="B25" s="23"/>
      <c r="C25" s="55" t="s">
        <v>11</v>
      </c>
      <c r="D25" s="55"/>
      <c r="E25" s="55"/>
      <c r="F25" s="55"/>
      <c r="G25" s="55"/>
      <c r="H25" s="56"/>
      <c r="I25" s="53">
        <v>18</v>
      </c>
      <c r="J25" s="1" t="s">
        <v>12</v>
      </c>
      <c r="K25" s="43"/>
      <c r="L25" s="44"/>
      <c r="M25" s="23"/>
      <c r="N25" s="55" t="s">
        <v>13</v>
      </c>
      <c r="O25" s="55"/>
      <c r="P25" s="55"/>
      <c r="Q25" s="55"/>
      <c r="R25" s="55"/>
      <c r="S25" s="56"/>
      <c r="T25" s="50">
        <v>5.0999999999999996</v>
      </c>
      <c r="U25" s="1" t="s">
        <v>8</v>
      </c>
    </row>
    <row r="26" spans="1:40" ht="14.45" customHeight="1" x14ac:dyDescent="0.25">
      <c r="B26" s="23"/>
      <c r="C26" s="55" t="s">
        <v>14</v>
      </c>
      <c r="D26" s="55"/>
      <c r="E26" s="55"/>
      <c r="F26" s="55"/>
      <c r="G26" s="55"/>
      <c r="H26" s="56"/>
      <c r="I26" s="50"/>
      <c r="J26" s="1" t="s">
        <v>8</v>
      </c>
      <c r="K26" s="139" t="str">
        <f>IF(I26&gt;50,"Neatbilst","")</f>
        <v/>
      </c>
      <c r="L26" s="139"/>
      <c r="N26" s="104" t="s">
        <v>15</v>
      </c>
      <c r="O26" s="104"/>
      <c r="P26" s="104"/>
      <c r="Q26" s="104"/>
      <c r="R26" s="104"/>
      <c r="S26" s="105"/>
      <c r="T26" s="50">
        <v>3675</v>
      </c>
      <c r="U26" s="1" t="s">
        <v>16</v>
      </c>
    </row>
    <row r="27" spans="1:40" s="5" customFormat="1" ht="4.1500000000000004" customHeight="1" x14ac:dyDescent="0.25">
      <c r="A27" s="4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T27" s="57">
        <f>($T26/($T25*900)*100)</f>
        <v>80.06535947712419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</row>
    <row r="28" spans="1:40" s="5" customFormat="1" ht="13.9" customHeight="1" x14ac:dyDescent="0.25">
      <c r="A28" s="45"/>
      <c r="C28" s="7"/>
      <c r="D28" s="111" t="s">
        <v>17</v>
      </c>
      <c r="E28" s="111"/>
      <c r="F28" s="111"/>
      <c r="G28" s="111"/>
      <c r="H28" s="33"/>
      <c r="I28" s="33"/>
      <c r="J28" s="33"/>
      <c r="K28" s="7"/>
      <c r="L28" s="111" t="s">
        <v>18</v>
      </c>
      <c r="M28" s="111"/>
      <c r="N28" s="111"/>
      <c r="O28" s="111"/>
      <c r="P28" s="33"/>
      <c r="Q28" s="59" t="s">
        <v>19</v>
      </c>
      <c r="R28" s="59"/>
      <c r="S28" s="59"/>
      <c r="T28" s="58"/>
      <c r="U28" s="5" t="s">
        <v>20</v>
      </c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</row>
    <row r="29" spans="1:40" s="2" customFormat="1" ht="15.6" customHeight="1" x14ac:dyDescent="0.25">
      <c r="A29" s="46"/>
      <c r="B29" s="61" t="s">
        <v>21</v>
      </c>
      <c r="C29" s="64"/>
      <c r="D29" s="62" t="s">
        <v>75</v>
      </c>
      <c r="E29" s="62"/>
      <c r="F29" s="62"/>
      <c r="G29" s="62"/>
      <c r="H29" s="32"/>
      <c r="I29" s="32"/>
      <c r="J29" s="32"/>
      <c r="K29" s="26"/>
      <c r="L29" s="108" t="s">
        <v>83</v>
      </c>
      <c r="M29" s="109"/>
      <c r="N29" s="109"/>
      <c r="O29" s="110"/>
      <c r="P29" s="32"/>
      <c r="Q29" s="59"/>
      <c r="R29" s="59"/>
      <c r="S29" s="59"/>
      <c r="T29" s="38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0" s="2" customFormat="1" ht="31.15" customHeight="1" x14ac:dyDescent="0.25">
      <c r="A30" s="46"/>
      <c r="B30" s="65" t="s">
        <v>24</v>
      </c>
      <c r="C30" s="66"/>
      <c r="D30" s="62" t="s">
        <v>60</v>
      </c>
      <c r="E30" s="62"/>
      <c r="F30" s="62"/>
      <c r="G30" s="62"/>
      <c r="H30" s="32"/>
      <c r="I30" s="32"/>
      <c r="J30" s="32"/>
      <c r="K30" s="25"/>
      <c r="L30" s="108" t="s">
        <v>60</v>
      </c>
      <c r="M30" s="109"/>
      <c r="N30" s="109"/>
      <c r="O30" s="110"/>
      <c r="P30" s="32"/>
      <c r="Q30" s="39"/>
      <c r="R30" s="39"/>
      <c r="S30" s="39"/>
      <c r="T30" s="39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0" s="2" customFormat="1" ht="15.75" x14ac:dyDescent="0.25">
      <c r="A31" s="46"/>
      <c r="B31" s="61" t="s">
        <v>27</v>
      </c>
      <c r="C31" s="64"/>
      <c r="D31" s="62" t="s">
        <v>28</v>
      </c>
      <c r="E31" s="62"/>
      <c r="F31" s="62"/>
      <c r="G31" s="62"/>
      <c r="H31" s="106"/>
      <c r="I31" s="107"/>
      <c r="J31" s="107"/>
      <c r="K31" s="25"/>
      <c r="L31" s="108" t="s">
        <v>54</v>
      </c>
      <c r="M31" s="109"/>
      <c r="N31" s="109"/>
      <c r="O31" s="110"/>
      <c r="P31" s="32"/>
      <c r="Q31" s="32"/>
      <c r="R31" s="32"/>
      <c r="S31" s="32"/>
      <c r="T31" s="32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s="2" customFormat="1" ht="15.6" customHeight="1" x14ac:dyDescent="0.25">
      <c r="A32" s="46"/>
      <c r="B32" s="65" t="s">
        <v>29</v>
      </c>
      <c r="C32" s="67"/>
      <c r="D32" s="22">
        <v>2020</v>
      </c>
      <c r="E32" s="54">
        <v>110</v>
      </c>
      <c r="F32" s="29" t="str">
        <f>D31</f>
        <v>ber.m3</v>
      </c>
      <c r="G32" s="63"/>
      <c r="H32" s="63"/>
      <c r="I32" s="63"/>
      <c r="J32" s="63"/>
      <c r="K32" s="25"/>
      <c r="L32" s="22">
        <v>2020</v>
      </c>
      <c r="M32" s="36">
        <v>10</v>
      </c>
      <c r="N32" s="29" t="str">
        <f>L31</f>
        <v>cieš.m3</v>
      </c>
      <c r="O32" s="20"/>
      <c r="P32" s="20"/>
      <c r="R32" s="32"/>
      <c r="S32" s="32"/>
      <c r="T32" s="32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0" s="2" customFormat="1" ht="15.75" x14ac:dyDescent="0.25">
      <c r="A33" s="46"/>
      <c r="B33" s="65"/>
      <c r="C33" s="67"/>
      <c r="D33" s="21">
        <v>2021</v>
      </c>
      <c r="E33" s="54">
        <v>110</v>
      </c>
      <c r="F33" s="29" t="str">
        <f>D31</f>
        <v>ber.m3</v>
      </c>
      <c r="G33" s="63"/>
      <c r="H33" s="63"/>
      <c r="I33" s="63"/>
      <c r="J33" s="63"/>
      <c r="K33" s="25"/>
      <c r="L33" s="21">
        <v>2021</v>
      </c>
      <c r="M33" s="37">
        <v>10</v>
      </c>
      <c r="N33" s="29" t="str">
        <f>L31</f>
        <v>cieš.m3</v>
      </c>
      <c r="O33" s="20"/>
      <c r="P33" s="20"/>
      <c r="Q33" s="20"/>
      <c r="R33" s="20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</row>
    <row r="34" spans="1:40" s="2" customFormat="1" ht="15.75" x14ac:dyDescent="0.25">
      <c r="A34" s="46"/>
      <c r="B34" s="65"/>
      <c r="C34" s="67"/>
      <c r="D34" s="21">
        <v>2022</v>
      </c>
      <c r="E34" s="54">
        <v>110</v>
      </c>
      <c r="F34" s="29" t="str">
        <f>D31</f>
        <v>ber.m3</v>
      </c>
      <c r="G34" s="63"/>
      <c r="H34" s="63"/>
      <c r="I34" s="63"/>
      <c r="J34" s="63"/>
      <c r="K34" s="25"/>
      <c r="L34" s="21">
        <v>2022</v>
      </c>
      <c r="M34" s="37">
        <v>10</v>
      </c>
      <c r="N34" s="29" t="str">
        <f>L31</f>
        <v>cieš.m3</v>
      </c>
      <c r="O34" s="20"/>
      <c r="P34" s="20"/>
      <c r="Q34" s="20"/>
      <c r="R34" s="20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</row>
    <row r="35" spans="1:40" s="2" customFormat="1" ht="15.75" x14ac:dyDescent="0.25">
      <c r="A35" s="46"/>
      <c r="B35" s="61" t="s">
        <v>30</v>
      </c>
      <c r="C35" s="61"/>
      <c r="D35" s="61"/>
      <c r="E35" s="40">
        <f>AVERAGE(E32:E34)</f>
        <v>110</v>
      </c>
      <c r="F35" s="29" t="str">
        <f>D31</f>
        <v>ber.m3</v>
      </c>
      <c r="G35" s="63"/>
      <c r="H35" s="63"/>
      <c r="I35" s="63"/>
      <c r="J35" s="63"/>
      <c r="K35" s="25"/>
      <c r="L35" s="25"/>
      <c r="M35" s="40">
        <f>IFERROR(AVERAGE(M32:M34),0)</f>
        <v>10</v>
      </c>
      <c r="N35" s="29" t="str">
        <f>L31</f>
        <v>cieš.m3</v>
      </c>
      <c r="O35" s="20"/>
      <c r="P35" s="20"/>
      <c r="Q35" s="20"/>
      <c r="R35" s="20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</row>
    <row r="36" spans="1:40" s="2" customFormat="1" ht="32.25" customHeight="1" x14ac:dyDescent="0.25">
      <c r="A36" s="46"/>
      <c r="B36" s="60" t="s">
        <v>31</v>
      </c>
      <c r="C36" s="60"/>
      <c r="D36" s="60"/>
      <c r="E36" s="21">
        <f>VLOOKUP('Projekta dati'!D29,Dati!B14:D26,2,FALSE)</f>
        <v>3.359</v>
      </c>
      <c r="F36" s="52" t="str">
        <f>VLOOKUP(D31,Dati!D27:E29,2,FALSE)</f>
        <v>MWh/ber.m3</v>
      </c>
      <c r="G36" s="32"/>
      <c r="H36" s="20"/>
      <c r="I36" s="20"/>
      <c r="J36" s="20"/>
      <c r="K36" s="25"/>
      <c r="L36" s="25"/>
      <c r="M36" s="21">
        <f>IFERROR(VLOOKUP('Projekta dati'!L29,Dati!B14:D26,2,FALSE),0)</f>
        <v>4.6609999999999996</v>
      </c>
      <c r="N36" s="32" t="str">
        <f>VLOOKUP(L31,Dati!D27:E29,2,FALSE)</f>
        <v>MWh/cieš.m3</v>
      </c>
      <c r="O36" s="32"/>
      <c r="P36" s="20"/>
      <c r="Q36" s="20"/>
      <c r="R36" s="20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</row>
    <row r="37" spans="1:40" s="2" customFormat="1" ht="37.5" customHeight="1" x14ac:dyDescent="0.25">
      <c r="A37" s="46"/>
      <c r="B37" s="60" t="s">
        <v>32</v>
      </c>
      <c r="C37" s="60"/>
      <c r="D37" s="60"/>
      <c r="E37" s="21">
        <f>VLOOKUP(D30,Dati!B3:E11,4,FALSE)</f>
        <v>0.45</v>
      </c>
      <c r="F37" s="8"/>
      <c r="G37" s="20"/>
      <c r="H37" s="20"/>
      <c r="I37" s="20"/>
      <c r="J37" s="20"/>
      <c r="K37" s="25"/>
      <c r="L37" s="25"/>
      <c r="M37" s="21">
        <f>IFERROR(VLOOKUP(L30,Dati!B3:E11,4,FALSE),0)</f>
        <v>0.45</v>
      </c>
      <c r="N37" s="8"/>
      <c r="O37" s="20"/>
      <c r="P37" s="20"/>
      <c r="Q37" s="20"/>
      <c r="R37" s="20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</row>
    <row r="38" spans="1:40" s="2" customFormat="1" ht="15.75" x14ac:dyDescent="0.25">
      <c r="A38" s="46"/>
      <c r="B38" s="61" t="s">
        <v>33</v>
      </c>
      <c r="C38" s="61"/>
      <c r="D38" s="61"/>
      <c r="E38" s="21">
        <f>IF(Dati!K2=0,1,IF(Dati!K3=0,1,2.5))</f>
        <v>2.5</v>
      </c>
      <c r="F38" s="8"/>
      <c r="G38" s="79" t="s">
        <v>34</v>
      </c>
      <c r="H38" s="79"/>
      <c r="I38" s="79" t="s">
        <v>35</v>
      </c>
      <c r="J38" s="79"/>
      <c r="K38" s="25"/>
      <c r="L38" s="25"/>
      <c r="M38" s="21">
        <f>IF(Dati!L2=0,1,IF(Dati!L3=0,1,2.5))</f>
        <v>1</v>
      </c>
      <c r="N38" s="8"/>
      <c r="O38" s="79" t="s">
        <v>34</v>
      </c>
      <c r="P38" s="79"/>
      <c r="Q38" s="79" t="s">
        <v>35</v>
      </c>
      <c r="R38" s="79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</row>
    <row r="39" spans="1:40" s="2" customFormat="1" ht="15.75" x14ac:dyDescent="0.25">
      <c r="A39" s="46"/>
      <c r="B39" s="1"/>
      <c r="C39" s="84" t="s">
        <v>36</v>
      </c>
      <c r="D39" s="84"/>
      <c r="E39" s="27">
        <f>E35*E36*E37/E38</f>
        <v>66.508200000000002</v>
      </c>
      <c r="F39" s="23" t="s">
        <v>37</v>
      </c>
      <c r="G39" s="80">
        <f>VLOOKUP(D30,Dati!B3:E11,2,FALSE)</f>
        <v>2664</v>
      </c>
      <c r="H39" s="81"/>
      <c r="I39" s="102">
        <f>E39*G39/1000000</f>
        <v>0.17717784479999998</v>
      </c>
      <c r="J39" s="103"/>
      <c r="K39" s="1"/>
      <c r="L39" s="41">
        <f>M39/(E39+M39)</f>
        <v>0.23975597460983716</v>
      </c>
      <c r="M39" s="27">
        <f>M35*M36*M37/M38</f>
        <v>20.974499999999999</v>
      </c>
      <c r="N39" s="23" t="s">
        <v>37</v>
      </c>
      <c r="O39" s="80">
        <f>IFERROR(VLOOKUP(L30,Dati!B3:E11,2,FALSE),0)</f>
        <v>2664</v>
      </c>
      <c r="P39" s="81"/>
      <c r="Q39" s="102">
        <f>IF(L39&gt;30%,M39*O39/1000000,0)</f>
        <v>0</v>
      </c>
      <c r="R39" s="103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</row>
    <row r="40" spans="1:40" s="2" customFormat="1" ht="9" customHeight="1" thickBot="1" x14ac:dyDescent="0.3">
      <c r="A40" s="46"/>
      <c r="B40" s="1"/>
      <c r="C40" s="14"/>
      <c r="D40" s="14"/>
      <c r="E40" s="14"/>
      <c r="F40" s="1"/>
      <c r="G40" s="1"/>
      <c r="H40" s="1"/>
      <c r="I40" s="1"/>
      <c r="J40" s="1"/>
      <c r="K40" s="1"/>
      <c r="L40" s="1"/>
      <c r="M40" s="14"/>
      <c r="N40" s="1"/>
      <c r="O40" s="1"/>
      <c r="P40" s="1"/>
      <c r="Q40" s="1"/>
      <c r="R40" s="1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</row>
    <row r="41" spans="1:40" s="2" customFormat="1" ht="15.75" x14ac:dyDescent="0.25">
      <c r="A41" s="46"/>
      <c r="B41" s="1"/>
      <c r="C41" s="14"/>
      <c r="D41" s="14"/>
      <c r="E41" s="14"/>
      <c r="F41" s="1"/>
      <c r="G41" s="1"/>
      <c r="H41" s="77" t="s">
        <v>38</v>
      </c>
      <c r="I41" s="78"/>
      <c r="J41" s="1"/>
      <c r="K41" s="1"/>
      <c r="L41" s="1"/>
      <c r="M41" s="14"/>
      <c r="N41" s="1"/>
      <c r="O41" s="1"/>
      <c r="P41" s="1"/>
      <c r="Q41" s="77" t="s">
        <v>39</v>
      </c>
      <c r="R41" s="101"/>
      <c r="S41" s="78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</row>
    <row r="42" spans="1:40" ht="54" customHeight="1" x14ac:dyDescent="0.25">
      <c r="B42" s="71" t="s">
        <v>40</v>
      </c>
      <c r="C42" s="71"/>
      <c r="D42" s="71"/>
      <c r="E42" s="71"/>
      <c r="F42" s="71"/>
      <c r="G42" s="71"/>
      <c r="H42" s="82">
        <f>IF(L39&gt;30%,E39+M39,E39)</f>
        <v>66.508200000000002</v>
      </c>
      <c r="I42" s="83"/>
      <c r="J42" s="23" t="s">
        <v>37</v>
      </c>
      <c r="L42" s="97" t="s">
        <v>41</v>
      </c>
      <c r="M42" s="71"/>
      <c r="N42" s="71"/>
      <c r="O42" s="71"/>
      <c r="P42" s="71"/>
      <c r="Q42" s="98">
        <f>H42</f>
        <v>66.508200000000002</v>
      </c>
      <c r="R42" s="99"/>
      <c r="S42" s="100"/>
      <c r="T42" s="44" t="s">
        <v>37</v>
      </c>
      <c r="U42" s="35" t="s">
        <v>42</v>
      </c>
    </row>
    <row r="43" spans="1:40" ht="33" customHeight="1" thickBot="1" x14ac:dyDescent="0.3">
      <c r="B43" s="71" t="s">
        <v>43</v>
      </c>
      <c r="C43" s="71"/>
      <c r="D43" s="71"/>
      <c r="E43" s="71"/>
      <c r="F43" s="71"/>
      <c r="G43" s="71"/>
      <c r="H43" s="72">
        <f>H42*1000/I24</f>
        <v>124.51687791361653</v>
      </c>
      <c r="I43" s="73"/>
      <c r="J43" s="23" t="s">
        <v>44</v>
      </c>
      <c r="L43" s="87" t="s">
        <v>45</v>
      </c>
      <c r="M43" s="87"/>
      <c r="N43" s="87"/>
      <c r="O43" s="87"/>
      <c r="P43" s="88"/>
      <c r="Q43" s="89" t="s">
        <v>46</v>
      </c>
      <c r="R43" s="90"/>
      <c r="S43" s="90"/>
      <c r="T43" s="90"/>
      <c r="U43" s="91"/>
    </row>
    <row r="44" spans="1:40" ht="31.5" customHeight="1" x14ac:dyDescent="0.25">
      <c r="B44" s="74" t="s">
        <v>47</v>
      </c>
      <c r="C44" s="71"/>
      <c r="D44" s="71"/>
      <c r="E44" s="71"/>
      <c r="F44" s="71"/>
      <c r="G44" s="71"/>
      <c r="H44" s="75" t="str">
        <f>IF(H43&gt;Dati!K5,"NEATBILST","Atbilst")</f>
        <v>Atbilst</v>
      </c>
      <c r="I44" s="76"/>
      <c r="L44" s="13"/>
      <c r="M44" s="68" t="s">
        <v>48</v>
      </c>
      <c r="N44" s="68"/>
      <c r="O44" s="68"/>
      <c r="P44" s="94"/>
      <c r="Q44" s="92">
        <f>IF(Q43=Dati!G6,216,0)</f>
        <v>216</v>
      </c>
      <c r="R44" s="93"/>
      <c r="T44" s="1" t="s">
        <v>49</v>
      </c>
    </row>
    <row r="45" spans="1:40" ht="16.149999999999999" customHeight="1" thickBot="1" x14ac:dyDescent="0.3">
      <c r="B45" s="68" t="s">
        <v>50</v>
      </c>
      <c r="C45" s="68"/>
      <c r="D45" s="68"/>
      <c r="E45" s="68"/>
      <c r="F45" s="68"/>
      <c r="G45" s="68"/>
      <c r="H45" s="69">
        <f>I39+Q39</f>
        <v>0.17717784479999998</v>
      </c>
      <c r="I45" s="70"/>
      <c r="J45" s="23" t="s">
        <v>51</v>
      </c>
      <c r="L45" s="68" t="s">
        <v>52</v>
      </c>
      <c r="M45" s="68"/>
      <c r="N45" s="68"/>
      <c r="O45" s="68"/>
      <c r="P45" s="68"/>
      <c r="Q45" s="85">
        <f>Q42*Q44/1000000</f>
        <v>1.43657712E-2</v>
      </c>
      <c r="R45" s="86"/>
      <c r="T45" s="1" t="s">
        <v>51</v>
      </c>
    </row>
    <row r="47" spans="1:40" s="45" customFormat="1" x14ac:dyDescent="0.25"/>
    <row r="48" spans="1:40" s="45" customFormat="1" x14ac:dyDescent="0.25"/>
    <row r="49" spans="7:8" s="45" customFormat="1" x14ac:dyDescent="0.25"/>
    <row r="50" spans="7:8" s="45" customFormat="1" x14ac:dyDescent="0.25"/>
    <row r="51" spans="7:8" s="45" customFormat="1" x14ac:dyDescent="0.25">
      <c r="G51" s="45" t="s">
        <v>53</v>
      </c>
      <c r="H51" s="45">
        <f>IF(H43&gt;150, 0, IF(AND(H43&gt;=90, H43&lt;=150), 1, 2))</f>
        <v>1</v>
      </c>
    </row>
    <row r="52" spans="7:8" s="45" customFormat="1" x14ac:dyDescent="0.25"/>
    <row r="53" spans="7:8" s="45" customFormat="1" x14ac:dyDescent="0.25"/>
    <row r="54" spans="7:8" s="45" customFormat="1" x14ac:dyDescent="0.25"/>
    <row r="55" spans="7:8" s="45" customFormat="1" x14ac:dyDescent="0.25"/>
    <row r="56" spans="7:8" s="45" customFormat="1" x14ac:dyDescent="0.25"/>
    <row r="57" spans="7:8" s="45" customFormat="1" x14ac:dyDescent="0.25"/>
    <row r="58" spans="7:8" s="45" customFormat="1" x14ac:dyDescent="0.25"/>
    <row r="59" spans="7:8" s="45" customFormat="1" x14ac:dyDescent="0.25"/>
    <row r="60" spans="7:8" s="45" customFormat="1" x14ac:dyDescent="0.25"/>
    <row r="61" spans="7:8" s="45" customFormat="1" x14ac:dyDescent="0.25"/>
    <row r="62" spans="7:8" s="45" customFormat="1" x14ac:dyDescent="0.25"/>
    <row r="63" spans="7:8" s="45" customFormat="1" x14ac:dyDescent="0.25"/>
    <row r="64" spans="7:8" s="45" customFormat="1" x14ac:dyDescent="0.25"/>
    <row r="65" s="45" customFormat="1" x14ac:dyDescent="0.25"/>
    <row r="66" s="45" customFormat="1" x14ac:dyDescent="0.25"/>
    <row r="67" s="45" customFormat="1" x14ac:dyDescent="0.25"/>
    <row r="68" s="45" customFormat="1" x14ac:dyDescent="0.25"/>
    <row r="69" s="45" customFormat="1" x14ac:dyDescent="0.25"/>
    <row r="70" s="45" customFormat="1" x14ac:dyDescent="0.25"/>
    <row r="71" s="45" customFormat="1" x14ac:dyDescent="0.25"/>
    <row r="72" s="45" customFormat="1" x14ac:dyDescent="0.25"/>
    <row r="73" s="45" customFormat="1" x14ac:dyDescent="0.25"/>
    <row r="74" s="45" customFormat="1" x14ac:dyDescent="0.25"/>
    <row r="75" s="45" customFormat="1" x14ac:dyDescent="0.25"/>
    <row r="76" s="45" customFormat="1" x14ac:dyDescent="0.25"/>
    <row r="77" s="45" customFormat="1" x14ac:dyDescent="0.25"/>
    <row r="78" s="45" customFormat="1" x14ac:dyDescent="0.25"/>
    <row r="79" s="45" customFormat="1" x14ac:dyDescent="0.25"/>
    <row r="80" s="45" customFormat="1" x14ac:dyDescent="0.25"/>
    <row r="81" s="45" customFormat="1" x14ac:dyDescent="0.25"/>
    <row r="82" s="45" customFormat="1" x14ac:dyDescent="0.25"/>
    <row r="83" s="45" customFormat="1" x14ac:dyDescent="0.25"/>
    <row r="84" s="45" customFormat="1" x14ac:dyDescent="0.25"/>
    <row r="85" s="45" customFormat="1" x14ac:dyDescent="0.25"/>
    <row r="86" s="45" customFormat="1" x14ac:dyDescent="0.25"/>
    <row r="87" s="45" customFormat="1" x14ac:dyDescent="0.25"/>
    <row r="88" s="45" customFormat="1" x14ac:dyDescent="0.25"/>
    <row r="89" s="45" customFormat="1" x14ac:dyDescent="0.25"/>
    <row r="90" s="45" customFormat="1" x14ac:dyDescent="0.25"/>
    <row r="91" s="45" customFormat="1" x14ac:dyDescent="0.25"/>
  </sheetData>
  <mergeCells count="72">
    <mergeCell ref="D28:G28"/>
    <mergeCell ref="B18:E21"/>
    <mergeCell ref="F18:K18"/>
    <mergeCell ref="F21:K21"/>
    <mergeCell ref="M21:U21"/>
    <mergeCell ref="C27:R27"/>
    <mergeCell ref="C23:E23"/>
    <mergeCell ref="F20:K20"/>
    <mergeCell ref="M18:U20"/>
    <mergeCell ref="K26:L26"/>
    <mergeCell ref="F23:J23"/>
    <mergeCell ref="K24:L24"/>
    <mergeCell ref="M23:S23"/>
    <mergeCell ref="C24:H24"/>
    <mergeCell ref="C25:H25"/>
    <mergeCell ref="C26:H26"/>
    <mergeCell ref="H31:J31"/>
    <mergeCell ref="L29:O29"/>
    <mergeCell ref="L30:O30"/>
    <mergeCell ref="L31:O31"/>
    <mergeCell ref="L28:O28"/>
    <mergeCell ref="F19:K19"/>
    <mergeCell ref="L42:P42"/>
    <mergeCell ref="Q42:S42"/>
    <mergeCell ref="Q41:S41"/>
    <mergeCell ref="O38:P38"/>
    <mergeCell ref="Q38:R38"/>
    <mergeCell ref="O39:P39"/>
    <mergeCell ref="Q39:R39"/>
    <mergeCell ref="I33:J33"/>
    <mergeCell ref="I34:J34"/>
    <mergeCell ref="I35:J35"/>
    <mergeCell ref="I38:J38"/>
    <mergeCell ref="I39:J39"/>
    <mergeCell ref="G32:H32"/>
    <mergeCell ref="G33:H33"/>
    <mergeCell ref="N26:S26"/>
    <mergeCell ref="Q45:R45"/>
    <mergeCell ref="L43:P43"/>
    <mergeCell ref="L45:P45"/>
    <mergeCell ref="Q43:U43"/>
    <mergeCell ref="Q44:R44"/>
    <mergeCell ref="M44:P44"/>
    <mergeCell ref="H41:I41"/>
    <mergeCell ref="G38:H38"/>
    <mergeCell ref="G39:H39"/>
    <mergeCell ref="B38:D38"/>
    <mergeCell ref="H42:I42"/>
    <mergeCell ref="C39:D39"/>
    <mergeCell ref="B42:G42"/>
    <mergeCell ref="B45:G45"/>
    <mergeCell ref="H45:I45"/>
    <mergeCell ref="B43:G43"/>
    <mergeCell ref="H43:I43"/>
    <mergeCell ref="B44:G44"/>
    <mergeCell ref="H44:I44"/>
    <mergeCell ref="N25:S25"/>
    <mergeCell ref="T27:T28"/>
    <mergeCell ref="Q28:S29"/>
    <mergeCell ref="B37:D37"/>
    <mergeCell ref="B36:D36"/>
    <mergeCell ref="B35:D35"/>
    <mergeCell ref="D30:G30"/>
    <mergeCell ref="D29:G29"/>
    <mergeCell ref="D31:G31"/>
    <mergeCell ref="G34:H34"/>
    <mergeCell ref="G35:H35"/>
    <mergeCell ref="I32:J32"/>
    <mergeCell ref="B29:C29"/>
    <mergeCell ref="B30:C30"/>
    <mergeCell ref="B31:C31"/>
    <mergeCell ref="B32:C34"/>
  </mergeCells>
  <phoneticPr fontId="17" type="noConversion"/>
  <conditionalFormatting sqref="C27:C28 K29:K38">
    <cfRule type="expression" dxfId="2" priority="29">
      <formula>#REF!=0</formula>
    </cfRule>
  </conditionalFormatting>
  <conditionalFormatting sqref="D29:D34 L29:L34 K30:K38">
    <cfRule type="expression" dxfId="1" priority="30">
      <formula>#REF!=1</formula>
    </cfRule>
  </conditionalFormatting>
  <conditionalFormatting sqref="T27:T28">
    <cfRule type="expression" dxfId="0" priority="1">
      <formula>$T$27&lt;80</formula>
    </cfRule>
  </conditionalFormatting>
  <dataValidations count="2">
    <dataValidation allowBlank="1" showErrorMessage="1" errorTitle="KĻŪDA" error="Tikai veseli skaitļi robežās no 0 līdz 10000000" sqref="C27:C28 K29"/>
    <dataValidation type="decimal" allowBlank="1" showErrorMessage="1" errorTitle="KĻŪDA" error="Tikai skaitļi no 0 līdz 1" sqref="K30:K38">
      <formula1>0.1</formula1>
      <formula2>1</formula2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53" orientation="portrait" horizontalDpi="1200" verticalDpi="1200" r:id="rId1"/>
  <headerFooter>
    <oddFooter>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Dati!$B$3:$B$11</xm:f>
          </x14:formula1>
          <xm:sqref>D30 L30</xm:sqref>
        </x14:dataValidation>
        <x14:dataValidation type="list" allowBlank="1" showInputMessage="1" showErrorMessage="1">
          <x14:formula1>
            <xm:f>Dati!$B$14:$B$26</xm:f>
          </x14:formula1>
          <xm:sqref>D29 L29</xm:sqref>
        </x14:dataValidation>
        <x14:dataValidation type="list" allowBlank="1" showInputMessage="1" showErrorMessage="1">
          <x14:formula1>
            <xm:f>Dati!$F$14:$F$17</xm:f>
          </x14:formula1>
          <xm:sqref>D31 L31</xm:sqref>
        </x14:dataValidation>
        <x14:dataValidation type="list" allowBlank="1" showInputMessage="1" showErrorMessage="1">
          <x14:formula1>
            <xm:f>Dati!$G$6:$G$9</xm:f>
          </x14:formula1>
          <xm:sqref>Q43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O1" sqref="O1"/>
    </sheetView>
  </sheetViews>
  <sheetFormatPr defaultColWidth="8.85546875" defaultRowHeight="15" x14ac:dyDescent="0.25"/>
  <cols>
    <col min="1" max="1" width="3.28515625" style="1" customWidth="1"/>
    <col min="2" max="2" width="74.28515625" style="1" customWidth="1"/>
    <col min="3" max="4" width="8.85546875" style="1"/>
    <col min="5" max="5" width="14.140625" style="14" bestFit="1" customWidth="1"/>
    <col min="6" max="6" width="8.85546875" style="1"/>
    <col min="7" max="7" width="30.42578125" style="1" customWidth="1"/>
    <col min="8" max="16384" width="8.85546875" style="1"/>
  </cols>
  <sheetData>
    <row r="1" spans="2:12" ht="60.75" customHeight="1" x14ac:dyDescent="0.25">
      <c r="I1" s="1" t="s">
        <v>54</v>
      </c>
      <c r="J1" s="1" t="s">
        <v>28</v>
      </c>
    </row>
    <row r="2" spans="2:12" ht="16.5" x14ac:dyDescent="0.3">
      <c r="B2" s="6" t="s">
        <v>55</v>
      </c>
      <c r="C2" s="142" t="s">
        <v>56</v>
      </c>
      <c r="D2" s="142"/>
      <c r="E2" s="17" t="s">
        <v>57</v>
      </c>
      <c r="H2" s="1" t="s">
        <v>58</v>
      </c>
      <c r="I2" s="1">
        <v>1</v>
      </c>
      <c r="J2" s="1">
        <f>1.5/0.6</f>
        <v>2.5</v>
      </c>
      <c r="K2" s="1">
        <f>IF('Projekta dati'!D29=Dati!B14,1,IF('Projekta dati'!D29=Dati!B15,1,IF('Projekta dati'!D29=Dati!B16,1,IF('Projekta dati'!D29=Dati!B17,1,IF('Projekta dati'!D29=Dati!B18,1,IF('Projekta dati'!D29=Dati!B19,1,0))))))</f>
        <v>1</v>
      </c>
      <c r="L2" s="1">
        <f>IF('Projekta dati'!L29=Dati!B14,1,IF('Projekta dati'!L29=Dati!B15,1,IF('Projekta dati'!L29=Dati!B16,1,IF('Projekta dati'!L29=Dati!B17,1,IF('Projekta dati'!L29=Dati!B18,1,IF('Projekta dati'!L29=Dati!B19,1,0))))))</f>
        <v>0</v>
      </c>
    </row>
    <row r="3" spans="2:12" x14ac:dyDescent="0.25">
      <c r="B3" s="9" t="s">
        <v>59</v>
      </c>
      <c r="C3" s="10">
        <v>2952</v>
      </c>
      <c r="D3" s="10" t="s">
        <v>49</v>
      </c>
      <c r="E3" s="19">
        <v>0.2</v>
      </c>
      <c r="K3" s="1">
        <f>IF('Projekta dati'!D31=Dati!F15,1,0)</f>
        <v>1</v>
      </c>
      <c r="L3" s="1">
        <f>IF('Projekta dati'!L31=Dati!F15,1,0)</f>
        <v>0</v>
      </c>
    </row>
    <row r="4" spans="2:12" x14ac:dyDescent="0.25">
      <c r="B4" s="9" t="s">
        <v>60</v>
      </c>
      <c r="C4" s="10">
        <v>2664</v>
      </c>
      <c r="D4" s="10" t="s">
        <v>49</v>
      </c>
      <c r="E4" s="19">
        <v>0.45</v>
      </c>
      <c r="H4" s="1" t="s">
        <v>61</v>
      </c>
    </row>
    <row r="5" spans="2:12" ht="30" x14ac:dyDescent="0.25">
      <c r="B5" s="15" t="s">
        <v>25</v>
      </c>
      <c r="C5" s="10">
        <v>2664</v>
      </c>
      <c r="D5" s="10" t="s">
        <v>49</v>
      </c>
      <c r="E5" s="18">
        <v>0.65</v>
      </c>
      <c r="H5" s="1">
        <f>'Projekta dati'!I24</f>
        <v>534.13</v>
      </c>
      <c r="J5" s="1">
        <f>IF(H5&lt;120,1,IF(H5&gt;250,3,2))</f>
        <v>3</v>
      </c>
      <c r="K5" s="1">
        <f>IF(J5=1,180,IF(J5=3,125,150))</f>
        <v>125</v>
      </c>
      <c r="L5" s="1">
        <v>90</v>
      </c>
    </row>
    <row r="6" spans="2:12" x14ac:dyDescent="0.25">
      <c r="B6" s="9" t="s">
        <v>62</v>
      </c>
      <c r="C6" s="10">
        <v>2664</v>
      </c>
      <c r="D6" s="10" t="s">
        <v>49</v>
      </c>
      <c r="E6" s="18">
        <v>0.65</v>
      </c>
      <c r="G6" s="1" t="s">
        <v>46</v>
      </c>
    </row>
    <row r="7" spans="2:12" x14ac:dyDescent="0.25">
      <c r="B7" s="15" t="s">
        <v>63</v>
      </c>
      <c r="C7" s="10">
        <v>1692</v>
      </c>
      <c r="D7" s="10" t="s">
        <v>49</v>
      </c>
      <c r="E7" s="18">
        <v>0.65</v>
      </c>
      <c r="G7" s="1" t="s">
        <v>64</v>
      </c>
    </row>
    <row r="8" spans="2:12" x14ac:dyDescent="0.25">
      <c r="B8" s="9" t="s">
        <v>65</v>
      </c>
      <c r="C8" s="10">
        <v>1692</v>
      </c>
      <c r="D8" s="10" t="s">
        <v>49</v>
      </c>
      <c r="E8" s="19">
        <v>0.85</v>
      </c>
      <c r="G8" s="1" t="s">
        <v>66</v>
      </c>
    </row>
    <row r="9" spans="2:12" x14ac:dyDescent="0.25">
      <c r="B9" s="15" t="s">
        <v>26</v>
      </c>
      <c r="C9" s="10">
        <v>1433</v>
      </c>
      <c r="D9" s="10" t="s">
        <v>49</v>
      </c>
      <c r="E9" s="18">
        <v>0.65</v>
      </c>
      <c r="G9" s="1" t="s">
        <v>67</v>
      </c>
    </row>
    <row r="10" spans="2:12" x14ac:dyDescent="0.25">
      <c r="B10" s="15" t="s">
        <v>68</v>
      </c>
      <c r="C10" s="10">
        <v>1433</v>
      </c>
      <c r="D10" s="10" t="s">
        <v>49</v>
      </c>
      <c r="E10" s="18">
        <v>0.65</v>
      </c>
      <c r="G10" s="1">
        <f>'Projekta dati'!I24</f>
        <v>534.13</v>
      </c>
    </row>
    <row r="11" spans="2:12" x14ac:dyDescent="0.25">
      <c r="B11" s="9" t="s">
        <v>69</v>
      </c>
      <c r="C11" s="16">
        <v>1692</v>
      </c>
      <c r="D11" s="10" t="s">
        <v>49</v>
      </c>
      <c r="E11" s="19">
        <v>0.5</v>
      </c>
      <c r="G11" s="1">
        <f>'Projekta dati'!H42</f>
        <v>66.508200000000002</v>
      </c>
    </row>
    <row r="12" spans="2:12" x14ac:dyDescent="0.25">
      <c r="G12" s="1">
        <v>212</v>
      </c>
      <c r="H12" s="1">
        <f>G12*G13</f>
        <v>5088</v>
      </c>
    </row>
    <row r="13" spans="2:12" ht="15.75" x14ac:dyDescent="0.25">
      <c r="B13" s="30" t="s">
        <v>70</v>
      </c>
      <c r="C13" s="12" t="s">
        <v>71</v>
      </c>
      <c r="D13" s="12"/>
      <c r="E13" s="11"/>
      <c r="G13" s="1">
        <v>24</v>
      </c>
    </row>
    <row r="14" spans="2:12" ht="15.75" x14ac:dyDescent="0.25">
      <c r="B14" s="30" t="s">
        <v>72</v>
      </c>
      <c r="C14" s="12">
        <v>4.5110000000000001</v>
      </c>
      <c r="D14" s="12" t="s">
        <v>73</v>
      </c>
      <c r="E14" s="11" t="s">
        <v>54</v>
      </c>
      <c r="F14" s="1" t="s">
        <v>54</v>
      </c>
      <c r="G14" s="1">
        <f>'Projekta dati'!I25</f>
        <v>18</v>
      </c>
      <c r="H14" s="1">
        <f>G14-G16</f>
        <v>16</v>
      </c>
    </row>
    <row r="15" spans="2:12" ht="15.75" x14ac:dyDescent="0.25">
      <c r="B15" s="30" t="s">
        <v>22</v>
      </c>
      <c r="C15" s="12">
        <v>3.9340000000000002</v>
      </c>
      <c r="D15" s="12" t="s">
        <v>74</v>
      </c>
      <c r="E15" s="11" t="s">
        <v>54</v>
      </c>
      <c r="F15" s="1" t="s">
        <v>28</v>
      </c>
      <c r="G15" s="1">
        <v>-24</v>
      </c>
      <c r="H15" s="1">
        <f>ABS(G15-G14)</f>
        <v>42</v>
      </c>
    </row>
    <row r="16" spans="2:12" ht="15.75" x14ac:dyDescent="0.25">
      <c r="B16" s="30" t="s">
        <v>75</v>
      </c>
      <c r="C16" s="12">
        <v>3.359</v>
      </c>
      <c r="D16" s="12" t="s">
        <v>74</v>
      </c>
      <c r="E16" s="11" t="s">
        <v>54</v>
      </c>
      <c r="F16" s="1" t="s">
        <v>76</v>
      </c>
      <c r="G16" s="1">
        <v>2</v>
      </c>
      <c r="H16" s="34">
        <f>H15/H14*1.2</f>
        <v>3.15</v>
      </c>
      <c r="I16" s="1">
        <v>0.85</v>
      </c>
    </row>
    <row r="17" spans="2:7" ht="15.75" x14ac:dyDescent="0.25">
      <c r="B17" s="30" t="s">
        <v>77</v>
      </c>
      <c r="C17" s="12">
        <v>2.7810000000000001</v>
      </c>
      <c r="D17" s="12" t="s">
        <v>73</v>
      </c>
      <c r="E17" s="11" t="s">
        <v>54</v>
      </c>
      <c r="G17" s="34">
        <f>ROUNDUP((G11*1000/(G12*G13)*(H15)/(G14-G16))*1.2/I16,0)</f>
        <v>49</v>
      </c>
    </row>
    <row r="18" spans="2:7" ht="15.75" x14ac:dyDescent="0.25">
      <c r="B18" s="30" t="s">
        <v>78</v>
      </c>
      <c r="C18" s="12">
        <v>2.1469999999999998</v>
      </c>
      <c r="D18" s="12" t="s">
        <v>73</v>
      </c>
      <c r="E18" s="11" t="s">
        <v>54</v>
      </c>
    </row>
    <row r="19" spans="2:7" ht="15.75" x14ac:dyDescent="0.25">
      <c r="B19" s="30" t="s">
        <v>79</v>
      </c>
      <c r="C19" s="12">
        <v>1.917</v>
      </c>
      <c r="D19" s="12" t="s">
        <v>73</v>
      </c>
      <c r="E19" s="11" t="s">
        <v>54</v>
      </c>
    </row>
    <row r="20" spans="2:7" ht="15.75" x14ac:dyDescent="0.25">
      <c r="B20" s="31" t="s">
        <v>80</v>
      </c>
      <c r="C20" s="1">
        <v>0.747</v>
      </c>
      <c r="D20" s="1" t="s">
        <v>81</v>
      </c>
      <c r="E20" s="2" t="s">
        <v>28</v>
      </c>
    </row>
    <row r="21" spans="2:7" x14ac:dyDescent="0.25">
      <c r="B21" s="31" t="s">
        <v>82</v>
      </c>
      <c r="C21" s="1">
        <v>0.90600000000000003</v>
      </c>
      <c r="D21" s="1" t="s">
        <v>81</v>
      </c>
      <c r="E21" s="3" t="s">
        <v>28</v>
      </c>
    </row>
    <row r="22" spans="2:7" ht="15.75" x14ac:dyDescent="0.25">
      <c r="B22" s="31" t="s">
        <v>83</v>
      </c>
      <c r="C22" s="1">
        <v>4.6609999999999996</v>
      </c>
      <c r="D22" s="1" t="s">
        <v>84</v>
      </c>
      <c r="E22" s="2" t="s">
        <v>76</v>
      </c>
    </row>
    <row r="23" spans="2:7" ht="15.75" x14ac:dyDescent="0.25">
      <c r="B23" s="31" t="s">
        <v>85</v>
      </c>
      <c r="C23" s="1">
        <v>4.8730000000000002</v>
      </c>
      <c r="D23" s="1" t="s">
        <v>84</v>
      </c>
      <c r="E23" s="2" t="s">
        <v>76</v>
      </c>
    </row>
    <row r="24" spans="2:7" ht="15.75" x14ac:dyDescent="0.25">
      <c r="B24" s="31" t="s">
        <v>23</v>
      </c>
      <c r="C24" s="1">
        <v>6.6369999999999996</v>
      </c>
      <c r="D24" s="1" t="s">
        <v>84</v>
      </c>
      <c r="E24" s="2" t="s">
        <v>76</v>
      </c>
    </row>
    <row r="25" spans="2:7" ht="15.75" x14ac:dyDescent="0.25">
      <c r="B25" s="31" t="s">
        <v>86</v>
      </c>
      <c r="C25" s="1">
        <v>2.7919999999999998</v>
      </c>
      <c r="D25" s="1" t="s">
        <v>84</v>
      </c>
      <c r="E25" s="2" t="s">
        <v>76</v>
      </c>
    </row>
    <row r="26" spans="2:7" ht="15.75" x14ac:dyDescent="0.25">
      <c r="B26" s="31" t="s">
        <v>87</v>
      </c>
      <c r="C26" s="1">
        <v>4.3029999999999999</v>
      </c>
      <c r="D26" s="1" t="s">
        <v>84</v>
      </c>
      <c r="E26" s="2" t="s">
        <v>76</v>
      </c>
    </row>
    <row r="27" spans="2:7" x14ac:dyDescent="0.25">
      <c r="D27" s="1" t="s">
        <v>54</v>
      </c>
      <c r="E27" s="14" t="s">
        <v>88</v>
      </c>
    </row>
    <row r="28" spans="2:7" x14ac:dyDescent="0.25">
      <c r="D28" s="1" t="s">
        <v>28</v>
      </c>
      <c r="E28" s="14" t="s">
        <v>81</v>
      </c>
    </row>
    <row r="29" spans="2:7" x14ac:dyDescent="0.25">
      <c r="D29" s="1" t="s">
        <v>76</v>
      </c>
      <c r="E29" s="14" t="s">
        <v>84</v>
      </c>
    </row>
  </sheetData>
  <mergeCells count="1">
    <mergeCell ref="C2:D2"/>
  </mergeCells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a47be-c97c-4e51-b319-47976872be82" xsi:nil="true"/>
    <lcf76f155ced4ddcb4097134ff3c332f xmlns="a84ad92e-a5c9-407a-af9a-37596a145915">
      <Terms xmlns="http://schemas.microsoft.com/office/infopath/2007/PartnerControls"/>
    </lcf76f155ced4ddcb4097134ff3c332f>
    <SharedWithUsers xmlns="9b4a47be-c97c-4e51-b319-47976872be82">
      <UserInfo>
        <DisplayName>Mikus Spalviņš</DisplayName>
        <AccountId>24</AccountId>
        <AccountType/>
      </UserInfo>
      <UserInfo>
        <DisplayName>Madara Austriņa</DisplayName>
        <AccountId>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0A9FF30EE10C44A6751BC2D36CC040" ma:contentTypeVersion="13" ma:contentTypeDescription="Create a new document." ma:contentTypeScope="" ma:versionID="9de9d333c1dfeb62a22d70e5f7e1dc9b">
  <xsd:schema xmlns:xsd="http://www.w3.org/2001/XMLSchema" xmlns:xs="http://www.w3.org/2001/XMLSchema" xmlns:p="http://schemas.microsoft.com/office/2006/metadata/properties" xmlns:ns2="a84ad92e-a5c9-407a-af9a-37596a145915" xmlns:ns3="9b4a47be-c97c-4e51-b319-47976872be82" targetNamespace="http://schemas.microsoft.com/office/2006/metadata/properties" ma:root="true" ma:fieldsID="2659be4a08614eafe7307a67749a8543" ns2:_="" ns3:_="">
    <xsd:import namespace="a84ad92e-a5c9-407a-af9a-37596a145915"/>
    <xsd:import namespace="9b4a47be-c97c-4e51-b319-47976872be8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ad92e-a5c9-407a-af9a-37596a14591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a47be-c97c-4e51-b319-47976872be8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57f9cc-656e-40ca-89bc-c6124d6caa1d}" ma:internalName="TaxCatchAll" ma:showField="CatchAllData" ma:web="9b4a47be-c97c-4e51-b319-47976872b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5AC93-022D-4981-AAEC-AADC094B2FB2}">
  <ds:schemaRefs>
    <ds:schemaRef ds:uri="http://purl.org/dc/terms/"/>
    <ds:schemaRef ds:uri="http://schemas.microsoft.com/office/infopath/2007/PartnerControls"/>
    <ds:schemaRef ds:uri="9b4a47be-c97c-4e51-b319-47976872be82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a84ad92e-a5c9-407a-af9a-37596a14591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7129B4-421B-4EDB-BFA6-3ADF52D40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ad92e-a5c9-407a-af9a-37596a145915"/>
    <ds:schemaRef ds:uri="9b4a47be-c97c-4e51-b319-47976872b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28FDE8-F13A-472D-93AC-0728F42E46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Projekta dati</vt:lpstr>
      <vt:lpstr>Dati</vt:lpstr>
      <vt:lpstr>Dati!_ftn1</vt:lpstr>
      <vt:lpstr>Dati!_ftnref1</vt:lpstr>
      <vt:lpstr>'Projekta dati'!Print_Area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Modris</dc:creator>
  <cp:keywords/>
  <dc:description/>
  <cp:lastModifiedBy>Egons</cp:lastModifiedBy>
  <cp:revision/>
  <dcterms:created xsi:type="dcterms:W3CDTF">2021-08-31T15:22:26Z</dcterms:created>
  <dcterms:modified xsi:type="dcterms:W3CDTF">2023-11-08T13:09:17Z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0x010100F80A9FF30EE10C44A6751BC2D36CC040</vt:lpwstr>
  </property>
  <property fmtid="{D5CDD505-2E9C-101B-9397-08002B2CF9AE}" pid="3" name="MediaServiceImageTags">
    <vt:lpwstr/>
  </property>
</Properties>
</file>